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업체정보\청려수련원-한국사회봉사회\다운받은 자료 2020-02-04\"/>
    </mc:Choice>
  </mc:AlternateContent>
  <bookViews>
    <workbookView xWindow="480" yWindow="210" windowWidth="18315" windowHeight="11535"/>
  </bookViews>
  <sheets>
    <sheet name="8인실 (2020)" sheetId="5" r:id="rId1"/>
    <sheet name="4인실(2020)" sheetId="6" r:id="rId2"/>
    <sheet name="Sheet3" sheetId="3" r:id="rId3"/>
  </sheets>
  <definedNames>
    <definedName name="_xlnm.Print_Area" localSheetId="1">'4인실(2020)'!$A$1:$J$35</definedName>
    <definedName name="_xlnm.Print_Area" localSheetId="0">'8인실 (2020)'!$A$1:$J$35</definedName>
  </definedNames>
  <calcPr calcId="162913"/>
</workbook>
</file>

<file path=xl/calcChain.xml><?xml version="1.0" encoding="utf-8"?>
<calcChain xmlns="http://schemas.openxmlformats.org/spreadsheetml/2006/main">
  <c r="I19" i="5" l="1"/>
  <c r="I18" i="5"/>
  <c r="I17" i="5"/>
  <c r="I16" i="5"/>
  <c r="I15" i="5"/>
  <c r="I14" i="5"/>
  <c r="I13" i="5"/>
  <c r="I12" i="5"/>
  <c r="I11" i="5"/>
  <c r="I10" i="5"/>
  <c r="H19" i="6" l="1"/>
  <c r="H18" i="6"/>
  <c r="H17" i="6"/>
  <c r="H16" i="6"/>
  <c r="H15" i="6"/>
  <c r="H14" i="6"/>
  <c r="H13" i="6"/>
  <c r="H12" i="6"/>
  <c r="H11" i="6"/>
  <c r="H10" i="6"/>
  <c r="H19" i="5" l="1"/>
  <c r="H18" i="5"/>
  <c r="H17" i="5"/>
  <c r="H16" i="5"/>
  <c r="H15" i="5"/>
  <c r="H14" i="5"/>
  <c r="H13" i="5"/>
  <c r="H12" i="5"/>
  <c r="H11" i="5"/>
  <c r="H10" i="5"/>
  <c r="I19" i="6" l="1"/>
  <c r="I18" i="6"/>
  <c r="I17" i="6"/>
  <c r="I16" i="6"/>
  <c r="I15" i="6"/>
  <c r="I14" i="6"/>
  <c r="I13" i="6"/>
  <c r="I12" i="6"/>
  <c r="I11" i="6"/>
  <c r="G19" i="6" l="1"/>
  <c r="G18" i="6"/>
  <c r="G17" i="6"/>
  <c r="G16" i="6"/>
  <c r="G15" i="6"/>
  <c r="G14" i="6"/>
  <c r="G13" i="6"/>
  <c r="G12" i="6"/>
  <c r="G11" i="6"/>
  <c r="G10" i="6"/>
  <c r="F19" i="6"/>
  <c r="F18" i="6"/>
  <c r="F17" i="6"/>
  <c r="F16" i="6"/>
  <c r="F15" i="6"/>
  <c r="F14" i="6"/>
  <c r="F13" i="6"/>
  <c r="F12" i="6"/>
  <c r="F11" i="6"/>
  <c r="F10" i="6"/>
  <c r="E19" i="6"/>
  <c r="E18" i="6"/>
  <c r="E17" i="6"/>
  <c r="E16" i="6"/>
  <c r="E15" i="6"/>
  <c r="E14" i="6"/>
  <c r="E13" i="6"/>
  <c r="E12" i="6"/>
  <c r="E11" i="6"/>
  <c r="E10" i="6"/>
  <c r="I10" i="6"/>
  <c r="G19" i="5"/>
  <c r="G18" i="5"/>
  <c r="G17" i="5"/>
  <c r="G16" i="5"/>
  <c r="G15" i="5"/>
  <c r="G14" i="5"/>
  <c r="G13" i="5"/>
  <c r="G12" i="5"/>
  <c r="G11" i="5"/>
  <c r="G10" i="5"/>
  <c r="F19" i="5"/>
  <c r="F18" i="5"/>
  <c r="F17" i="5"/>
  <c r="F16" i="5"/>
  <c r="F15" i="5"/>
  <c r="F14" i="5"/>
  <c r="F13" i="5"/>
  <c r="F12" i="5"/>
  <c r="F11" i="5"/>
  <c r="F10" i="5"/>
  <c r="E19" i="5"/>
  <c r="E18" i="5"/>
  <c r="E17" i="5"/>
  <c r="E16" i="5"/>
  <c r="E15" i="5"/>
  <c r="E14" i="5"/>
  <c r="E13" i="5"/>
  <c r="E10" i="5"/>
  <c r="E12" i="5"/>
  <c r="E11" i="5"/>
</calcChain>
</file>

<file path=xl/sharedStrings.xml><?xml version="1.0" encoding="utf-8"?>
<sst xmlns="http://schemas.openxmlformats.org/spreadsheetml/2006/main" count="186" uniqueCount="89">
  <si>
    <t>구분</t>
    <phoneticPr fontId="2" type="noConversion"/>
  </si>
  <si>
    <t>숙박비</t>
    <phoneticPr fontId="2" type="noConversion"/>
  </si>
  <si>
    <t>식비</t>
    <phoneticPr fontId="2" type="noConversion"/>
  </si>
  <si>
    <t>시설사용료</t>
    <phoneticPr fontId="2" type="noConversion"/>
  </si>
  <si>
    <t>축구장사용료</t>
    <phoneticPr fontId="2" type="noConversion"/>
  </si>
  <si>
    <t>청소년</t>
    <phoneticPr fontId="2" type="noConversion"/>
  </si>
  <si>
    <t>초등학생</t>
    <phoneticPr fontId="2" type="noConversion"/>
  </si>
  <si>
    <t>중 · 고등학생</t>
    <phoneticPr fontId="2" type="noConversion"/>
  </si>
  <si>
    <t>대학생</t>
    <phoneticPr fontId="2" type="noConversion"/>
  </si>
  <si>
    <t>일반</t>
    <phoneticPr fontId="2" type="noConversion"/>
  </si>
  <si>
    <t>비고</t>
    <phoneticPr fontId="2" type="noConversion"/>
  </si>
  <si>
    <t>숙
박
교
육</t>
    <phoneticPr fontId="2" type="noConversion"/>
  </si>
  <si>
    <t>\/박·실(8인1실)</t>
    <phoneticPr fontId="2" type="noConversion"/>
  </si>
  <si>
    <t>\/인·일</t>
    <phoneticPr fontId="2" type="noConversion"/>
  </si>
  <si>
    <t>\/인·식</t>
    <phoneticPr fontId="2" type="noConversion"/>
  </si>
  <si>
    <t>〃</t>
    <phoneticPr fontId="2" type="noConversion"/>
  </si>
  <si>
    <t>입장료, \/인·일</t>
    <phoneticPr fontId="2" type="noConversion"/>
  </si>
  <si>
    <t>450인 이하시</t>
    <phoneticPr fontId="2" type="noConversion"/>
  </si>
  <si>
    <t>인원구분</t>
    <phoneticPr fontId="2" type="noConversion"/>
  </si>
  <si>
    <t>30인이상 기준</t>
    <phoneticPr fontId="2" type="noConversion"/>
  </si>
  <si>
    <t>소운동장, 집회장사용료</t>
    <phoneticPr fontId="2" type="noConversion"/>
  </si>
  <si>
    <t xml:space="preserve">450인 이상시, \/인·일 </t>
    <phoneticPr fontId="2" type="noConversion"/>
  </si>
  <si>
    <t>4시간 미만</t>
    <phoneticPr fontId="2" type="noConversion"/>
  </si>
  <si>
    <t>100명 이상</t>
    <phoneticPr fontId="2" type="noConversion"/>
  </si>
  <si>
    <t>100명 미만</t>
    <phoneticPr fontId="2" type="noConversion"/>
  </si>
  <si>
    <t>50명 미만</t>
    <phoneticPr fontId="2" type="noConversion"/>
  </si>
  <si>
    <t>50명 이상</t>
    <phoneticPr fontId="2" type="noConversion"/>
  </si>
  <si>
    <t>강당 사용료</t>
    <phoneticPr fontId="2" type="noConversion"/>
  </si>
  <si>
    <t>(수용인원 각 60명)</t>
    <phoneticPr fontId="2" type="noConversion"/>
  </si>
  <si>
    <t>(수용인원 200명)</t>
    <phoneticPr fontId="2" type="noConversion"/>
  </si>
  <si>
    <t>비
숙
박
교
육</t>
    <phoneticPr fontId="2" type="noConversion"/>
  </si>
  <si>
    <t>1박 2일 4식</t>
    <phoneticPr fontId="2" type="noConversion"/>
  </si>
  <si>
    <t>2박 3일 5식</t>
    <phoneticPr fontId="2" type="noConversion"/>
  </si>
  <si>
    <t>2박 3일 6식</t>
    <phoneticPr fontId="2" type="noConversion"/>
  </si>
  <si>
    <t>2박 3일 7식</t>
    <phoneticPr fontId="2" type="noConversion"/>
  </si>
  <si>
    <t>3박 4일 8식</t>
    <phoneticPr fontId="2" type="noConversion"/>
  </si>
  <si>
    <t>3박 4일 9식</t>
    <phoneticPr fontId="2" type="noConversion"/>
  </si>
  <si>
    <t xml:space="preserve"> 3박 4일 10식</t>
    <phoneticPr fontId="2" type="noConversion"/>
  </si>
  <si>
    <t xml:space="preserve"> 4박 5일 12식</t>
    <phoneticPr fontId="2" type="noConversion"/>
  </si>
  <si>
    <t>3층 강당 (2개실 보유)</t>
    <phoneticPr fontId="2" type="noConversion"/>
  </si>
  <si>
    <t>1층 대강당 (1개실 보유)</t>
    <phoneticPr fontId="2" type="noConversion"/>
  </si>
  <si>
    <t>각 1개실 이용기준</t>
    <phoneticPr fontId="2" type="noConversion"/>
  </si>
  <si>
    <t>캠프화이어비</t>
    <phoneticPr fontId="2" type="noConversion"/>
  </si>
  <si>
    <t>150,000 (불글씨 포함시 200,000)</t>
    <phoneticPr fontId="2" type="noConversion"/>
  </si>
  <si>
    <t>(단위 : 원)</t>
    <phoneticPr fontId="2" type="noConversion"/>
  </si>
  <si>
    <t>4시간 이상~8시간이하</t>
    <phoneticPr fontId="2" type="noConversion"/>
  </si>
  <si>
    <t>환경보전 부담금</t>
    <phoneticPr fontId="2" type="noConversion"/>
  </si>
  <si>
    <t>1박 2일 2식</t>
    <phoneticPr fontId="2" type="noConversion"/>
  </si>
  <si>
    <t>1박 2일 3식</t>
    <phoneticPr fontId="2" type="noConversion"/>
  </si>
  <si>
    <t>임원실</t>
    <phoneticPr fontId="2" type="noConversion"/>
  </si>
  <si>
    <t>66,000
(33,000/인·박)</t>
    <phoneticPr fontId="2" type="noConversion"/>
  </si>
  <si>
    <t>\/박·실(4인1실)</t>
    <phoneticPr fontId="2" type="noConversion"/>
  </si>
  <si>
    <t>임원실
(2/4인실)</t>
    <phoneticPr fontId="2" type="noConversion"/>
  </si>
  <si>
    <t>1층 컨퍼런스룸</t>
    <phoneticPr fontId="2" type="noConversion"/>
  </si>
  <si>
    <t>강의실 사용료</t>
    <phoneticPr fontId="2" type="noConversion"/>
  </si>
  <si>
    <t>옥외수영장 사용료</t>
    <phoneticPr fontId="2" type="noConversion"/>
  </si>
  <si>
    <t>(수용인원 20명)</t>
    <phoneticPr fontId="2" type="noConversion"/>
  </si>
  <si>
    <t>1층 대강당 (1개실 보유)</t>
  </si>
  <si>
    <t>숙박비</t>
    <phoneticPr fontId="2" type="noConversion"/>
  </si>
  <si>
    <t>일반요금</t>
    <phoneticPr fontId="2" type="noConversion"/>
  </si>
  <si>
    <t>\/인·일</t>
  </si>
  <si>
    <t>\/인·일</t>
    <phoneticPr fontId="2" type="noConversion"/>
  </si>
  <si>
    <t>단체 할인요금</t>
    <phoneticPr fontId="2" type="noConversion"/>
  </si>
  <si>
    <t>68,000
(8,500/인·박)</t>
    <phoneticPr fontId="2" type="noConversion"/>
  </si>
  <si>
    <t>72,000
(9,000/인·박)</t>
    <phoneticPr fontId="2" type="noConversion"/>
  </si>
  <si>
    <t>80,000
(10,000/인·박)</t>
    <phoneticPr fontId="2" type="noConversion"/>
  </si>
  <si>
    <t>○박 - ○일 - ○식</t>
    <phoneticPr fontId="2" type="noConversion"/>
  </si>
  <si>
    <t>환경보전 부담금</t>
    <phoneticPr fontId="2" type="noConversion"/>
  </si>
  <si>
    <t>\/인</t>
    <phoneticPr fontId="2" type="noConversion"/>
  </si>
  <si>
    <t xml:space="preserve">○박 - ○일 - ○식 </t>
    <phoneticPr fontId="2" type="noConversion"/>
  </si>
  <si>
    <t>68,000
(17,000/인·박)</t>
    <phoneticPr fontId="2" type="noConversion"/>
  </si>
  <si>
    <t>72,000
(18,000/인·박)</t>
    <phoneticPr fontId="2" type="noConversion"/>
  </si>
  <si>
    <t>80,000
(20,000/인·박)</t>
    <phoneticPr fontId="2" type="noConversion"/>
  </si>
  <si>
    <t>92,000
(11,500/인·박)</t>
    <phoneticPr fontId="2" type="noConversion"/>
  </si>
  <si>
    <t>92,000
(23,000/인·박)</t>
    <phoneticPr fontId="2" type="noConversion"/>
  </si>
  <si>
    <t xml:space="preserve">하계 </t>
    <phoneticPr fontId="2" type="noConversion"/>
  </si>
  <si>
    <t xml:space="preserve">성인/대학생 14,000, 초/중/고등생 12,000, 미취학아동 10,000,  36개월 미만 무료 </t>
    <phoneticPr fontId="2" type="noConversion"/>
  </si>
  <si>
    <t>미취학아동</t>
    <phoneticPr fontId="2" type="noConversion"/>
  </si>
  <si>
    <t>(수용인원 각 60명)</t>
    <phoneticPr fontId="2" type="noConversion"/>
  </si>
  <si>
    <t>비
숙
박
교
육</t>
    <phoneticPr fontId="2" type="noConversion"/>
  </si>
  <si>
    <t>적용개시일 : 2020.02.01</t>
    <phoneticPr fontId="2" type="noConversion"/>
  </si>
  <si>
    <t>* 실당 이용료 정산
* 다인실 기준, 잔여인원 발생시 1인요금으로 계산</t>
    <phoneticPr fontId="2" type="noConversion"/>
  </si>
  <si>
    <t>지정시간에 한하여 할인</t>
    <phoneticPr fontId="2" type="noConversion"/>
  </si>
  <si>
    <t>일반요금 적용시간</t>
    <phoneticPr fontId="2" type="noConversion"/>
  </si>
  <si>
    <t>`</t>
    <phoneticPr fontId="2" type="noConversion"/>
  </si>
  <si>
    <t>단체 할인 지정시간 : 9-11시, 16시 - 18시</t>
    <phoneticPr fontId="2" type="noConversion"/>
  </si>
  <si>
    <t>일반요금 적용시간 : 11시 - 16시 30분</t>
    <phoneticPr fontId="2" type="noConversion"/>
  </si>
  <si>
    <t>청려수련원이용료 (4인/1실 이용기준)</t>
    <phoneticPr fontId="2" type="noConversion"/>
  </si>
  <si>
    <t>청려수련원이용료 (8인/1실 이용기준)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</si>
</sst>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3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5" fillId="0" borderId="0" xfId="1" applyFont="1">
      <alignment vertical="center"/>
    </xf>
    <xf numFmtId="0" fontId="6" fillId="0" borderId="0" xfId="0" applyFont="1" applyAlignment="1">
      <alignment vertical="center"/>
    </xf>
    <xf numFmtId="176" fontId="8" fillId="2" borderId="1" xfId="1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1" fontId="8" fillId="0" borderId="8" xfId="1" applyFont="1" applyBorder="1" applyAlignment="1">
      <alignment horizontal="center" vertical="center"/>
    </xf>
    <xf numFmtId="176" fontId="8" fillId="2" borderId="7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1" fontId="8" fillId="2" borderId="5" xfId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right" vertical="center" indent="2"/>
    </xf>
    <xf numFmtId="3" fontId="8" fillId="0" borderId="1" xfId="1" applyNumberFormat="1" applyFont="1" applyBorder="1" applyAlignment="1">
      <alignment horizontal="right" vertical="center" indent="2"/>
    </xf>
    <xf numFmtId="49" fontId="8" fillId="2" borderId="19" xfId="1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right" vertical="center" indent="2"/>
    </xf>
    <xf numFmtId="0" fontId="9" fillId="0" borderId="3" xfId="0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right" vertical="center" indent="2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1" fontId="13" fillId="0" borderId="0" xfId="1" applyFont="1">
      <alignment vertical="center"/>
    </xf>
    <xf numFmtId="3" fontId="15" fillId="2" borderId="1" xfId="1" applyNumberFormat="1" applyFont="1" applyFill="1" applyBorder="1" applyAlignment="1">
      <alignment horizontal="right" vertical="center" indent="2"/>
    </xf>
    <xf numFmtId="49" fontId="17" fillId="2" borderId="1" xfId="1" applyNumberFormat="1" applyFont="1" applyFill="1" applyBorder="1" applyAlignment="1">
      <alignment horizontal="center" vertical="center"/>
    </xf>
    <xf numFmtId="176" fontId="17" fillId="2" borderId="1" xfId="1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5" fillId="2" borderId="36" xfId="0" applyFont="1" applyFill="1" applyBorder="1" applyAlignment="1">
      <alignment horizontal="center" vertical="center"/>
    </xf>
    <xf numFmtId="49" fontId="17" fillId="2" borderId="9" xfId="1" applyNumberFormat="1" applyFont="1" applyFill="1" applyBorder="1" applyAlignment="1">
      <alignment horizontal="center" vertical="center"/>
    </xf>
    <xf numFmtId="176" fontId="17" fillId="2" borderId="7" xfId="1" applyNumberFormat="1" applyFont="1" applyFill="1" applyBorder="1" applyAlignment="1">
      <alignment horizontal="center" vertical="center"/>
    </xf>
    <xf numFmtId="3" fontId="8" fillId="0" borderId="9" xfId="1" applyNumberFormat="1" applyFont="1" applyBorder="1" applyAlignment="1">
      <alignment horizontal="right" vertical="center" indent="2"/>
    </xf>
    <xf numFmtId="3" fontId="8" fillId="0" borderId="7" xfId="1" applyNumberFormat="1" applyFont="1" applyBorder="1" applyAlignment="1">
      <alignment horizontal="right" vertical="center" indent="2"/>
    </xf>
    <xf numFmtId="0" fontId="9" fillId="0" borderId="10" xfId="0" applyFont="1" applyBorder="1" applyAlignment="1">
      <alignment horizontal="center" vertical="center"/>
    </xf>
    <xf numFmtId="41" fontId="8" fillId="0" borderId="46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10" fillId="2" borderId="19" xfId="1" applyNumberFormat="1" applyFont="1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horizontal="center" vertical="center"/>
    </xf>
    <xf numFmtId="176" fontId="10" fillId="2" borderId="7" xfId="1" applyNumberFormat="1" applyFont="1" applyFill="1" applyBorder="1" applyAlignment="1">
      <alignment horizontal="center" vertical="center"/>
    </xf>
    <xf numFmtId="41" fontId="17" fillId="0" borderId="3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3" fontId="17" fillId="0" borderId="1" xfId="1" applyNumberFormat="1" applyFont="1" applyBorder="1" applyAlignment="1">
      <alignment horizontal="right" vertical="center" indent="2"/>
    </xf>
    <xf numFmtId="0" fontId="17" fillId="0" borderId="6" xfId="0" applyFont="1" applyBorder="1" applyAlignment="1">
      <alignment horizontal="center" vertical="center"/>
    </xf>
    <xf numFmtId="41" fontId="17" fillId="0" borderId="37" xfId="1" applyFont="1" applyBorder="1" applyAlignment="1">
      <alignment horizontal="center" vertical="center"/>
    </xf>
    <xf numFmtId="3" fontId="17" fillId="0" borderId="9" xfId="1" applyNumberFormat="1" applyFont="1" applyBorder="1" applyAlignment="1">
      <alignment horizontal="right" vertical="center" indent="2"/>
    </xf>
    <xf numFmtId="0" fontId="17" fillId="0" borderId="10" xfId="0" applyFont="1" applyBorder="1" applyAlignment="1">
      <alignment horizontal="center" vertical="center"/>
    </xf>
    <xf numFmtId="3" fontId="17" fillId="0" borderId="7" xfId="1" applyNumberFormat="1" applyFont="1" applyBorder="1" applyAlignment="1">
      <alignment horizontal="right" vertical="center" indent="2"/>
    </xf>
    <xf numFmtId="3" fontId="17" fillId="0" borderId="2" xfId="1" applyNumberFormat="1" applyFont="1" applyBorder="1" applyAlignment="1">
      <alignment horizontal="right" vertical="center" indent="2"/>
    </xf>
    <xf numFmtId="0" fontId="17" fillId="0" borderId="3" xfId="0" applyFont="1" applyBorder="1" applyAlignment="1">
      <alignment horizontal="center" vertical="center"/>
    </xf>
    <xf numFmtId="41" fontId="17" fillId="0" borderId="7" xfId="1" applyFont="1" applyBorder="1" applyAlignment="1">
      <alignment horizontal="center" vertical="center"/>
    </xf>
    <xf numFmtId="41" fontId="17" fillId="0" borderId="8" xfId="1" applyFont="1" applyBorder="1" applyAlignment="1">
      <alignment horizontal="center" vertical="center"/>
    </xf>
    <xf numFmtId="41" fontId="17" fillId="2" borderId="10" xfId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right" vertical="center" indent="2"/>
    </xf>
    <xf numFmtId="41" fontId="17" fillId="2" borderId="5" xfId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17" fillId="2" borderId="36" xfId="0" applyNumberFormat="1" applyFont="1" applyFill="1" applyBorder="1" applyAlignment="1">
      <alignment horizontal="center" vertical="center"/>
    </xf>
    <xf numFmtId="49" fontId="17" fillId="2" borderId="36" xfId="1" applyNumberFormat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41" xfId="0" applyNumberFormat="1" applyFont="1" applyBorder="1" applyAlignment="1">
      <alignment horizontal="center" vertical="center"/>
    </xf>
    <xf numFmtId="41" fontId="17" fillId="0" borderId="31" xfId="1" applyFont="1" applyBorder="1" applyAlignment="1">
      <alignment horizontal="center" vertical="center"/>
    </xf>
    <xf numFmtId="41" fontId="17" fillId="0" borderId="42" xfId="1" applyFont="1" applyBorder="1" applyAlignment="1">
      <alignment horizontal="center" vertical="center"/>
    </xf>
    <xf numFmtId="41" fontId="17" fillId="0" borderId="41" xfId="1" applyFont="1" applyBorder="1" applyAlignment="1">
      <alignment horizontal="center" vertical="center"/>
    </xf>
    <xf numFmtId="3" fontId="17" fillId="0" borderId="1" xfId="1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1" fontId="17" fillId="0" borderId="19" xfId="1" applyFont="1" applyBorder="1" applyAlignment="1">
      <alignment horizontal="center" vertical="center"/>
    </xf>
    <xf numFmtId="41" fontId="17" fillId="0" borderId="38" xfId="1" applyFont="1" applyBorder="1" applyAlignment="1">
      <alignment horizontal="center" vertical="center"/>
    </xf>
    <xf numFmtId="41" fontId="17" fillId="0" borderId="13" xfId="1" applyFont="1" applyBorder="1" applyAlignment="1">
      <alignment horizontal="center" vertical="center"/>
    </xf>
    <xf numFmtId="3" fontId="17" fillId="0" borderId="7" xfId="1" applyNumberFormat="1" applyFont="1" applyBorder="1" applyAlignment="1">
      <alignment horizontal="center" vertical="center" wrapText="1"/>
    </xf>
    <xf numFmtId="3" fontId="17" fillId="0" borderId="7" xfId="1" applyNumberFormat="1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19" xfId="1" applyNumberFormat="1" applyFont="1" applyFill="1" applyBorder="1" applyAlignment="1">
      <alignment horizontal="center" vertical="center"/>
    </xf>
    <xf numFmtId="49" fontId="8" fillId="2" borderId="13" xfId="1" applyNumberFormat="1" applyFont="1" applyFill="1" applyBorder="1" applyAlignment="1">
      <alignment horizontal="center" vertical="center"/>
    </xf>
    <xf numFmtId="41" fontId="8" fillId="2" borderId="5" xfId="1" applyFont="1" applyFill="1" applyBorder="1" applyAlignment="1">
      <alignment horizontal="center" vertical="center"/>
    </xf>
    <xf numFmtId="41" fontId="8" fillId="2" borderId="8" xfId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9" fontId="8" fillId="2" borderId="20" xfId="1" applyNumberFormat="1" applyFont="1" applyFill="1" applyBorder="1" applyAlignment="1">
      <alignment horizontal="center" vertical="center"/>
    </xf>
    <xf numFmtId="49" fontId="8" fillId="2" borderId="17" xfId="1" applyNumberFormat="1" applyFont="1" applyFill="1" applyBorder="1" applyAlignment="1">
      <alignment horizontal="center" vertical="center"/>
    </xf>
    <xf numFmtId="3" fontId="10" fillId="0" borderId="7" xfId="1" applyNumberFormat="1" applyFont="1" applyBorder="1" applyAlignment="1">
      <alignment horizontal="center" vertical="center"/>
    </xf>
    <xf numFmtId="41" fontId="8" fillId="2" borderId="19" xfId="1" applyFont="1" applyFill="1" applyBorder="1" applyAlignment="1">
      <alignment horizontal="center" vertical="center"/>
    </xf>
    <xf numFmtId="41" fontId="8" fillId="2" borderId="13" xfId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1" fontId="8" fillId="0" borderId="7" xfId="1" applyFont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3" fontId="15" fillId="2" borderId="18" xfId="1" applyNumberFormat="1" applyFont="1" applyFill="1" applyBorder="1" applyAlignment="1">
      <alignment horizontal="center" vertical="center"/>
    </xf>
    <xf numFmtId="3" fontId="15" fillId="2" borderId="21" xfId="1" applyNumberFormat="1" applyFont="1" applyFill="1" applyBorder="1" applyAlignment="1">
      <alignment horizontal="center" vertical="center"/>
    </xf>
    <xf numFmtId="3" fontId="15" fillId="2" borderId="15" xfId="1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1" fontId="17" fillId="2" borderId="9" xfId="1" applyFont="1" applyFill="1" applyBorder="1" applyAlignment="1">
      <alignment horizontal="center" vertical="center"/>
    </xf>
    <xf numFmtId="41" fontId="17" fillId="2" borderId="1" xfId="1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9" fontId="17" fillId="2" borderId="9" xfId="1" applyNumberFormat="1" applyFont="1" applyFill="1" applyBorder="1" applyAlignment="1">
      <alignment horizontal="center" vertical="center"/>
    </xf>
    <xf numFmtId="49" fontId="17" fillId="2" borderId="1" xfId="1" applyNumberFormat="1" applyFont="1" applyFill="1" applyBorder="1" applyAlignment="1">
      <alignment horizontal="center" vertical="center"/>
    </xf>
    <xf numFmtId="41" fontId="17" fillId="2" borderId="5" xfId="1" applyFont="1" applyFill="1" applyBorder="1" applyAlignment="1">
      <alignment horizontal="center" vertical="center"/>
    </xf>
    <xf numFmtId="41" fontId="17" fillId="2" borderId="8" xfId="1" applyFont="1" applyFill="1" applyBorder="1" applyAlignment="1">
      <alignment horizontal="center" vertical="center"/>
    </xf>
    <xf numFmtId="49" fontId="17" fillId="2" borderId="7" xfId="1" applyNumberFormat="1" applyFont="1" applyFill="1" applyBorder="1" applyAlignment="1">
      <alignment horizontal="center" vertical="center"/>
    </xf>
    <xf numFmtId="0" fontId="17" fillId="2" borderId="36" xfId="1" applyNumberFormat="1" applyFont="1" applyFill="1" applyBorder="1" applyAlignment="1">
      <alignment horizontal="center" vertical="center"/>
    </xf>
    <xf numFmtId="49" fontId="17" fillId="2" borderId="36" xfId="1" applyNumberFormat="1" applyFont="1" applyFill="1" applyBorder="1" applyAlignment="1">
      <alignment horizontal="center" vertical="center"/>
    </xf>
    <xf numFmtId="41" fontId="17" fillId="0" borderId="7" xfId="1" applyFont="1" applyBorder="1" applyAlignment="1">
      <alignment horizontal="center" vertical="center"/>
    </xf>
    <xf numFmtId="3" fontId="17" fillId="2" borderId="18" xfId="1" applyNumberFormat="1" applyFont="1" applyFill="1" applyBorder="1" applyAlignment="1">
      <alignment horizontal="center" vertical="center"/>
    </xf>
    <xf numFmtId="3" fontId="17" fillId="2" borderId="21" xfId="1" applyNumberFormat="1" applyFont="1" applyFill="1" applyBorder="1" applyAlignment="1">
      <alignment horizontal="center" vertical="center"/>
    </xf>
    <xf numFmtId="3" fontId="17" fillId="2" borderId="15" xfId="1" applyNumberFormat="1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8"/>
  <sheetViews>
    <sheetView tabSelected="1" topLeftCell="A4" zoomScale="90" zoomScaleNormal="90" workbookViewId="0">
      <selection activeCell="B17" sqref="B17:D17"/>
    </sheetView>
  </sheetViews>
  <sheetFormatPr defaultRowHeight="16.5" x14ac:dyDescent="0.3"/>
  <cols>
    <col min="1" max="1" width="6.75" customWidth="1"/>
    <col min="2" max="2" width="25.75" bestFit="1" customWidth="1"/>
    <col min="3" max="3" width="9" customWidth="1"/>
    <col min="4" max="4" width="16" customWidth="1"/>
    <col min="5" max="7" width="17.625" customWidth="1"/>
    <col min="8" max="9" width="17.75" customWidth="1"/>
    <col min="10" max="10" width="43.5" customWidth="1"/>
    <col min="11" max="11" width="35.75" customWidth="1"/>
  </cols>
  <sheetData>
    <row r="1" spans="1:15" ht="34.15" customHeight="1" x14ac:dyDescent="0.3">
      <c r="A1" s="78" t="s">
        <v>88</v>
      </c>
      <c r="B1" s="78"/>
      <c r="C1" s="78"/>
      <c r="D1" s="78"/>
      <c r="E1" s="78"/>
      <c r="F1" s="78"/>
      <c r="G1" s="78"/>
      <c r="H1" s="78"/>
      <c r="I1" s="78"/>
      <c r="J1" s="78"/>
      <c r="K1" s="4"/>
      <c r="L1" s="4"/>
      <c r="M1" s="4"/>
      <c r="N1" s="4"/>
      <c r="O1" s="4"/>
    </row>
    <row r="2" spans="1:15" ht="28.5" customHeight="1" thickBot="1" x14ac:dyDescent="0.35">
      <c r="A2" s="79" t="s">
        <v>80</v>
      </c>
      <c r="B2" s="80"/>
      <c r="C2" s="17"/>
      <c r="D2" s="2"/>
      <c r="E2" s="2"/>
      <c r="F2" s="2"/>
      <c r="G2" s="2"/>
      <c r="H2" s="81" t="s">
        <v>44</v>
      </c>
      <c r="I2" s="81"/>
      <c r="J2" s="81"/>
      <c r="K2" s="2"/>
      <c r="L2" s="2"/>
      <c r="M2" s="2"/>
      <c r="N2" s="2"/>
      <c r="O2" s="1"/>
    </row>
    <row r="3" spans="1:15" ht="20.25" x14ac:dyDescent="0.3">
      <c r="A3" s="82" t="s">
        <v>11</v>
      </c>
      <c r="B3" s="85" t="s">
        <v>0</v>
      </c>
      <c r="C3" s="86"/>
      <c r="D3" s="86"/>
      <c r="E3" s="86" t="s">
        <v>5</v>
      </c>
      <c r="F3" s="86"/>
      <c r="G3" s="86"/>
      <c r="H3" s="86" t="s">
        <v>9</v>
      </c>
      <c r="I3" s="89" t="s">
        <v>52</v>
      </c>
      <c r="J3" s="90" t="s">
        <v>10</v>
      </c>
      <c r="K3" s="2"/>
      <c r="L3" s="2"/>
      <c r="M3" s="2"/>
      <c r="N3" s="2"/>
      <c r="O3" s="1"/>
    </row>
    <row r="4" spans="1:15" ht="20.25" x14ac:dyDescent="0.3">
      <c r="A4" s="83"/>
      <c r="B4" s="87"/>
      <c r="C4" s="88"/>
      <c r="D4" s="88"/>
      <c r="E4" s="10" t="s">
        <v>6</v>
      </c>
      <c r="F4" s="10" t="s">
        <v>7</v>
      </c>
      <c r="G4" s="10" t="s">
        <v>8</v>
      </c>
      <c r="H4" s="88"/>
      <c r="I4" s="88"/>
      <c r="J4" s="91"/>
      <c r="K4" s="2"/>
      <c r="L4" s="2"/>
      <c r="M4" s="2"/>
      <c r="N4" s="2"/>
      <c r="O4" s="1"/>
    </row>
    <row r="5" spans="1:15" ht="39" x14ac:dyDescent="0.3">
      <c r="A5" s="83"/>
      <c r="B5" s="50" t="s">
        <v>1</v>
      </c>
      <c r="C5" s="92" t="s">
        <v>12</v>
      </c>
      <c r="D5" s="92"/>
      <c r="E5" s="21" t="s">
        <v>63</v>
      </c>
      <c r="F5" s="21" t="s">
        <v>64</v>
      </c>
      <c r="G5" s="21" t="s">
        <v>65</v>
      </c>
      <c r="H5" s="21" t="s">
        <v>73</v>
      </c>
      <c r="I5" s="21" t="s">
        <v>50</v>
      </c>
      <c r="J5" s="33" t="s">
        <v>81</v>
      </c>
      <c r="K5" s="2"/>
      <c r="L5" s="2"/>
      <c r="M5" s="2"/>
      <c r="N5" s="2"/>
      <c r="O5" s="1"/>
    </row>
    <row r="6" spans="1:15" ht="20.25" x14ac:dyDescent="0.3">
      <c r="A6" s="83"/>
      <c r="B6" s="50" t="s">
        <v>2</v>
      </c>
      <c r="C6" s="92" t="s">
        <v>14</v>
      </c>
      <c r="D6" s="92"/>
      <c r="E6" s="20">
        <v>5000</v>
      </c>
      <c r="F6" s="20">
        <v>5500</v>
      </c>
      <c r="G6" s="20">
        <v>6500</v>
      </c>
      <c r="H6" s="20">
        <v>7800</v>
      </c>
      <c r="I6" s="20">
        <v>7800</v>
      </c>
      <c r="J6" s="22"/>
      <c r="K6" s="3"/>
      <c r="L6" s="3"/>
      <c r="M6" s="2"/>
      <c r="N6" s="2"/>
      <c r="O6" s="1"/>
    </row>
    <row r="7" spans="1:15" ht="20.25" x14ac:dyDescent="0.3">
      <c r="A7" s="83"/>
      <c r="B7" s="50" t="s">
        <v>3</v>
      </c>
      <c r="C7" s="92" t="s">
        <v>61</v>
      </c>
      <c r="D7" s="92"/>
      <c r="E7" s="20">
        <v>5000</v>
      </c>
      <c r="F7" s="20">
        <v>5500</v>
      </c>
      <c r="G7" s="20">
        <v>6500</v>
      </c>
      <c r="H7" s="20">
        <v>7000</v>
      </c>
      <c r="I7" s="20">
        <v>7000</v>
      </c>
      <c r="J7" s="22"/>
      <c r="K7" s="3"/>
      <c r="L7" s="3"/>
      <c r="M7" s="2"/>
      <c r="N7" s="2"/>
      <c r="O7" s="1"/>
    </row>
    <row r="8" spans="1:15" ht="21" thickBot="1" x14ac:dyDescent="0.35">
      <c r="A8" s="83"/>
      <c r="B8" s="51" t="s">
        <v>67</v>
      </c>
      <c r="C8" s="75" t="s">
        <v>68</v>
      </c>
      <c r="D8" s="75"/>
      <c r="E8" s="140">
        <v>500</v>
      </c>
      <c r="F8" s="140"/>
      <c r="G8" s="140"/>
      <c r="H8" s="140"/>
      <c r="I8" s="140"/>
      <c r="J8" s="23"/>
      <c r="K8" s="3"/>
      <c r="L8" s="3"/>
      <c r="M8" s="2"/>
      <c r="N8" s="2"/>
      <c r="O8" s="1"/>
    </row>
    <row r="9" spans="1:15" ht="21.95" customHeight="1" thickBot="1" x14ac:dyDescent="0.35">
      <c r="A9" s="83"/>
      <c r="B9" s="93" t="s">
        <v>66</v>
      </c>
      <c r="C9" s="94"/>
      <c r="D9" s="94"/>
      <c r="E9" s="94"/>
      <c r="F9" s="94"/>
      <c r="G9" s="94"/>
      <c r="H9" s="94"/>
      <c r="I9" s="94"/>
      <c r="J9" s="40" t="s">
        <v>19</v>
      </c>
      <c r="K9" s="3"/>
      <c r="L9" s="3"/>
      <c r="M9" s="2"/>
      <c r="N9" s="2"/>
      <c r="O9" s="1"/>
    </row>
    <row r="10" spans="1:15" ht="21.95" customHeight="1" x14ac:dyDescent="0.3">
      <c r="A10" s="83"/>
      <c r="B10" s="95" t="s">
        <v>47</v>
      </c>
      <c r="C10" s="96"/>
      <c r="D10" s="96"/>
      <c r="E10" s="18">
        <f>8500+5000*2+5000*2</f>
        <v>28500</v>
      </c>
      <c r="F10" s="18">
        <f>9000+5500*2+5500*2</f>
        <v>31000</v>
      </c>
      <c r="G10" s="18">
        <f>10000*1+6500*2+6500*2</f>
        <v>36000</v>
      </c>
      <c r="H10" s="18">
        <f>11500*1+7800*2+7000*2</f>
        <v>41100</v>
      </c>
      <c r="I10" s="18">
        <f>33000*1+7800*2+7000*2</f>
        <v>62600</v>
      </c>
      <c r="J10" s="19" t="s">
        <v>15</v>
      </c>
      <c r="K10" s="3"/>
      <c r="L10" s="3"/>
      <c r="M10" s="2"/>
      <c r="N10" s="2"/>
      <c r="O10" s="1"/>
    </row>
    <row r="11" spans="1:15" ht="21.95" customHeight="1" x14ac:dyDescent="0.3">
      <c r="A11" s="83"/>
      <c r="B11" s="97" t="s">
        <v>48</v>
      </c>
      <c r="C11" s="98"/>
      <c r="D11" s="98"/>
      <c r="E11" s="13">
        <f>8500+5000*2+5000*3</f>
        <v>33500</v>
      </c>
      <c r="F11" s="13">
        <f>9000+5500*2+5500*3</f>
        <v>36500</v>
      </c>
      <c r="G11" s="13">
        <f>10000*1+6500*2+6500*3</f>
        <v>42500</v>
      </c>
      <c r="H11" s="13">
        <f>11500*1+7800*3+7000*2</f>
        <v>48900</v>
      </c>
      <c r="I11" s="13">
        <f>33000*1+7800*3+7000*2</f>
        <v>70400</v>
      </c>
      <c r="J11" s="7" t="s">
        <v>15</v>
      </c>
      <c r="K11" s="3"/>
      <c r="L11" s="3"/>
      <c r="M11" s="2"/>
      <c r="N11" s="2"/>
      <c r="O11" s="1"/>
    </row>
    <row r="12" spans="1:15" ht="21.95" customHeight="1" thickBot="1" x14ac:dyDescent="0.35">
      <c r="A12" s="83"/>
      <c r="B12" s="76" t="s">
        <v>31</v>
      </c>
      <c r="C12" s="77"/>
      <c r="D12" s="77"/>
      <c r="E12" s="38">
        <f>8500+5000*2+5000*4</f>
        <v>38500</v>
      </c>
      <c r="F12" s="38">
        <f>9000+5500*2+5500*4</f>
        <v>42000</v>
      </c>
      <c r="G12" s="38">
        <f>10000*1+6500*2+6500*4</f>
        <v>49000</v>
      </c>
      <c r="H12" s="38">
        <f>11500*1+7800*4+7000*2</f>
        <v>56700</v>
      </c>
      <c r="I12" s="38">
        <f>33000*1+7800*4+7000*2</f>
        <v>78200</v>
      </c>
      <c r="J12" s="41" t="s">
        <v>15</v>
      </c>
      <c r="K12" s="3"/>
      <c r="L12" s="3"/>
      <c r="M12" s="2"/>
      <c r="N12" s="2"/>
      <c r="O12" s="1"/>
    </row>
    <row r="13" spans="1:15" ht="21.95" customHeight="1" x14ac:dyDescent="0.3">
      <c r="A13" s="83"/>
      <c r="B13" s="95" t="s">
        <v>32</v>
      </c>
      <c r="C13" s="96"/>
      <c r="D13" s="96"/>
      <c r="E13" s="18">
        <f>8500*2+5000*3+5000*5</f>
        <v>57000</v>
      </c>
      <c r="F13" s="18">
        <f>9000*2+5500*3+5500*5</f>
        <v>62000</v>
      </c>
      <c r="G13" s="18">
        <f>10000*2+6500*3+6500*5</f>
        <v>72000</v>
      </c>
      <c r="H13" s="18">
        <f>11500*2+7800*5+7000*3</f>
        <v>83000</v>
      </c>
      <c r="I13" s="18">
        <f>33000*2+7800*5+7000*3</f>
        <v>126000</v>
      </c>
      <c r="J13" s="19" t="s">
        <v>15</v>
      </c>
      <c r="K13" s="3"/>
      <c r="L13" s="3"/>
      <c r="M13" s="2"/>
      <c r="N13" s="2"/>
      <c r="O13" s="1"/>
    </row>
    <row r="14" spans="1:15" ht="21.95" customHeight="1" x14ac:dyDescent="0.3">
      <c r="A14" s="83"/>
      <c r="B14" s="97" t="s">
        <v>33</v>
      </c>
      <c r="C14" s="98"/>
      <c r="D14" s="98"/>
      <c r="E14" s="13">
        <f>8500*2+5000*3+5000*6</f>
        <v>62000</v>
      </c>
      <c r="F14" s="13">
        <f>9000*2+5500*3+5500*6</f>
        <v>67500</v>
      </c>
      <c r="G14" s="13">
        <f>10000*2+6500*3+6500*6</f>
        <v>78500</v>
      </c>
      <c r="H14" s="13">
        <f>11500*2+7800*6+7000*3</f>
        <v>90800</v>
      </c>
      <c r="I14" s="13">
        <f>33000*2+7800*6+7000*3</f>
        <v>133800</v>
      </c>
      <c r="J14" s="7" t="s">
        <v>15</v>
      </c>
      <c r="K14" s="3"/>
      <c r="L14" s="3"/>
      <c r="M14" s="2"/>
      <c r="N14" s="2"/>
      <c r="O14" s="1"/>
    </row>
    <row r="15" spans="1:15" ht="21.95" customHeight="1" thickBot="1" x14ac:dyDescent="0.35">
      <c r="A15" s="83"/>
      <c r="B15" s="76" t="s">
        <v>34</v>
      </c>
      <c r="C15" s="77"/>
      <c r="D15" s="77"/>
      <c r="E15" s="38">
        <f>8500*2+5000*3+5000*7</f>
        <v>67000</v>
      </c>
      <c r="F15" s="38">
        <f>9000*2+5500*3+5500*7</f>
        <v>73000</v>
      </c>
      <c r="G15" s="38">
        <f>10000*2+6500*3+6500*7</f>
        <v>85000</v>
      </c>
      <c r="H15" s="38">
        <f>11500*2+7800*7+7000*3</f>
        <v>98600</v>
      </c>
      <c r="I15" s="38">
        <f>33000*2+7800*7+7000*3</f>
        <v>141600</v>
      </c>
      <c r="J15" s="41" t="s">
        <v>15</v>
      </c>
      <c r="K15" s="3"/>
      <c r="L15" s="3"/>
      <c r="M15" s="2"/>
      <c r="N15" s="2"/>
      <c r="O15" s="1"/>
    </row>
    <row r="16" spans="1:15" ht="21.95" customHeight="1" x14ac:dyDescent="0.3">
      <c r="A16" s="83"/>
      <c r="B16" s="95" t="s">
        <v>35</v>
      </c>
      <c r="C16" s="96"/>
      <c r="D16" s="96"/>
      <c r="E16" s="18">
        <f>8500*3+5000*4+5000*8</f>
        <v>85500</v>
      </c>
      <c r="F16" s="18">
        <f>9000*3+5500*4+5500*8</f>
        <v>93000</v>
      </c>
      <c r="G16" s="18">
        <f>10000*3+6500*4+6500*8</f>
        <v>108000</v>
      </c>
      <c r="H16" s="18">
        <f>11500*3+7800*8+7000*4</f>
        <v>124900</v>
      </c>
      <c r="I16" s="18">
        <f>33000*3+7800*8+7000*4</f>
        <v>189400</v>
      </c>
      <c r="J16" s="19" t="s">
        <v>15</v>
      </c>
      <c r="K16" s="3"/>
      <c r="L16" s="3"/>
      <c r="M16" s="2"/>
      <c r="N16" s="2"/>
      <c r="O16" s="1"/>
    </row>
    <row r="17" spans="1:15" ht="21.95" customHeight="1" x14ac:dyDescent="0.3">
      <c r="A17" s="83"/>
      <c r="B17" s="154" t="s">
        <v>36</v>
      </c>
      <c r="C17" s="155"/>
      <c r="D17" s="155"/>
      <c r="E17" s="14">
        <f>8500*3+5000*4+5000*9</f>
        <v>90500</v>
      </c>
      <c r="F17" s="14">
        <f>9000*3+5500*4+5500*9</f>
        <v>98500</v>
      </c>
      <c r="G17" s="14">
        <f>10000*3+6500*4+6500*9</f>
        <v>114500</v>
      </c>
      <c r="H17" s="14">
        <f>11500*3+7800*9+7000*4</f>
        <v>132700</v>
      </c>
      <c r="I17" s="14">
        <f>33000*3+7800*9+7000*4</f>
        <v>197200</v>
      </c>
      <c r="J17" s="7" t="s">
        <v>15</v>
      </c>
      <c r="K17" s="3"/>
      <c r="L17" s="3"/>
      <c r="M17" s="2"/>
      <c r="N17" s="2"/>
      <c r="O17" s="1"/>
    </row>
    <row r="18" spans="1:15" ht="21.95" customHeight="1" thickBot="1" x14ac:dyDescent="0.35">
      <c r="A18" s="83"/>
      <c r="B18" s="76" t="s">
        <v>37</v>
      </c>
      <c r="C18" s="77"/>
      <c r="D18" s="77"/>
      <c r="E18" s="38">
        <f>8500*3+5000*4+5000*10</f>
        <v>95500</v>
      </c>
      <c r="F18" s="38">
        <f>9000*3+5500*4+5500*10</f>
        <v>104000</v>
      </c>
      <c r="G18" s="38">
        <f>10000*3+6500*4+6500*10</f>
        <v>121000</v>
      </c>
      <c r="H18" s="38">
        <f>11500*3+7800*10+7000*4</f>
        <v>140500</v>
      </c>
      <c r="I18" s="38">
        <f>33000*3+7800*10+7000*4</f>
        <v>205000</v>
      </c>
      <c r="J18" s="41" t="s">
        <v>15</v>
      </c>
      <c r="K18" s="3"/>
      <c r="L18" s="3"/>
      <c r="M18" s="2"/>
      <c r="N18" s="2"/>
      <c r="O18" s="1"/>
    </row>
    <row r="19" spans="1:15" ht="21.95" customHeight="1" x14ac:dyDescent="0.3">
      <c r="A19" s="83"/>
      <c r="B19" s="143" t="s">
        <v>38</v>
      </c>
      <c r="C19" s="144"/>
      <c r="D19" s="144"/>
      <c r="E19" s="37">
        <f>8500*4+5000*5+5000*12</f>
        <v>119000</v>
      </c>
      <c r="F19" s="37">
        <f>9000*4+5500*5+5500*12</f>
        <v>129500</v>
      </c>
      <c r="G19" s="37">
        <f>10000*4+6500*5+6500*12</f>
        <v>150500</v>
      </c>
      <c r="H19" s="37">
        <f>11500*4+7800*12+7000*5</f>
        <v>174600</v>
      </c>
      <c r="I19" s="37">
        <f>33000*4+7800*12+7000*5</f>
        <v>260600</v>
      </c>
      <c r="J19" s="39" t="s">
        <v>15</v>
      </c>
      <c r="K19" s="3"/>
      <c r="L19" s="3"/>
      <c r="M19" s="2"/>
      <c r="N19" s="2"/>
      <c r="O19" s="1"/>
    </row>
    <row r="20" spans="1:15" ht="21.95" customHeight="1" thickBot="1" x14ac:dyDescent="0.35">
      <c r="A20" s="84"/>
      <c r="B20" s="76" t="s">
        <v>42</v>
      </c>
      <c r="C20" s="77"/>
      <c r="D20" s="77"/>
      <c r="E20" s="145" t="s">
        <v>43</v>
      </c>
      <c r="F20" s="145"/>
      <c r="G20" s="145"/>
      <c r="H20" s="145"/>
      <c r="I20" s="145"/>
      <c r="J20" s="8"/>
      <c r="K20" s="3"/>
      <c r="L20" s="3"/>
      <c r="M20" s="2"/>
      <c r="N20" s="2"/>
      <c r="O20" s="1"/>
    </row>
    <row r="21" spans="1:15" s="25" customFormat="1" ht="21.95" customHeight="1" x14ac:dyDescent="0.3">
      <c r="A21" s="99" t="s">
        <v>75</v>
      </c>
      <c r="B21" s="102" t="s">
        <v>55</v>
      </c>
      <c r="C21" s="105"/>
      <c r="D21" s="106"/>
      <c r="E21" s="107" t="s">
        <v>85</v>
      </c>
      <c r="F21" s="108"/>
      <c r="G21" s="108"/>
      <c r="H21" s="108"/>
      <c r="I21" s="109"/>
      <c r="J21" s="45" t="s">
        <v>82</v>
      </c>
      <c r="K21" s="29"/>
      <c r="L21" s="29"/>
      <c r="M21" s="27"/>
      <c r="N21" s="27"/>
      <c r="O21" s="28"/>
    </row>
    <row r="22" spans="1:15" s="25" customFormat="1" ht="22.15" customHeight="1" x14ac:dyDescent="0.3">
      <c r="A22" s="100"/>
      <c r="B22" s="103"/>
      <c r="C22" s="46" t="s">
        <v>60</v>
      </c>
      <c r="D22" s="46" t="s">
        <v>62</v>
      </c>
      <c r="E22" s="110">
        <v>6000</v>
      </c>
      <c r="F22" s="110"/>
      <c r="G22" s="110"/>
      <c r="H22" s="110"/>
      <c r="I22" s="110"/>
      <c r="J22" s="47"/>
      <c r="K22" s="29"/>
      <c r="L22" s="29"/>
      <c r="M22" s="27"/>
      <c r="N22" s="27"/>
      <c r="O22" s="28"/>
    </row>
    <row r="23" spans="1:15" s="25" customFormat="1" ht="22.15" customHeight="1" x14ac:dyDescent="0.3">
      <c r="A23" s="100"/>
      <c r="B23" s="103"/>
      <c r="C23" s="111"/>
      <c r="D23" s="112"/>
      <c r="E23" s="113" t="s">
        <v>86</v>
      </c>
      <c r="F23" s="114"/>
      <c r="G23" s="114"/>
      <c r="H23" s="114"/>
      <c r="I23" s="115"/>
      <c r="J23" s="47" t="s">
        <v>83</v>
      </c>
      <c r="K23" s="29"/>
      <c r="L23" s="29"/>
      <c r="M23" s="27"/>
      <c r="N23" s="27"/>
      <c r="O23" s="28"/>
    </row>
    <row r="24" spans="1:15" s="25" customFormat="1" ht="22.15" customHeight="1" thickBot="1" x14ac:dyDescent="0.35">
      <c r="A24" s="101"/>
      <c r="B24" s="104"/>
      <c r="C24" s="48" t="s">
        <v>60</v>
      </c>
      <c r="D24" s="48" t="s">
        <v>59</v>
      </c>
      <c r="E24" s="116" t="s">
        <v>76</v>
      </c>
      <c r="F24" s="117"/>
      <c r="G24" s="117"/>
      <c r="H24" s="117"/>
      <c r="I24" s="117"/>
      <c r="J24" s="49"/>
      <c r="K24" s="29"/>
      <c r="L24" s="29"/>
      <c r="M24" s="27"/>
      <c r="N24" s="27"/>
      <c r="O24" s="28"/>
    </row>
    <row r="25" spans="1:15" ht="20.25" x14ac:dyDescent="0.3">
      <c r="A25" s="118" t="s">
        <v>30</v>
      </c>
      <c r="B25" s="121" t="s">
        <v>0</v>
      </c>
      <c r="C25" s="121"/>
      <c r="D25" s="122"/>
      <c r="E25" s="146" t="s">
        <v>5</v>
      </c>
      <c r="F25" s="147"/>
      <c r="G25" s="147"/>
      <c r="H25" s="148"/>
      <c r="I25" s="149" t="s">
        <v>9</v>
      </c>
      <c r="J25" s="90" t="s">
        <v>10</v>
      </c>
      <c r="K25" s="2"/>
      <c r="L25" s="2"/>
      <c r="M25" s="2"/>
      <c r="N25" s="2"/>
      <c r="O25" s="1"/>
    </row>
    <row r="26" spans="1:15" ht="21" thickBot="1" x14ac:dyDescent="0.35">
      <c r="A26" s="119"/>
      <c r="B26" s="123"/>
      <c r="C26" s="123"/>
      <c r="D26" s="124"/>
      <c r="E26" s="34" t="s">
        <v>77</v>
      </c>
      <c r="F26" s="34" t="s">
        <v>6</v>
      </c>
      <c r="G26" s="34" t="s">
        <v>7</v>
      </c>
      <c r="H26" s="34" t="s">
        <v>8</v>
      </c>
      <c r="I26" s="150"/>
      <c r="J26" s="91"/>
      <c r="K26" s="2"/>
      <c r="L26" s="2"/>
      <c r="M26" s="2"/>
      <c r="N26" s="2"/>
      <c r="O26" s="1"/>
    </row>
    <row r="27" spans="1:15" ht="20.25" thickTop="1" x14ac:dyDescent="0.3">
      <c r="A27" s="119"/>
      <c r="B27" s="97" t="s">
        <v>4</v>
      </c>
      <c r="C27" s="141" t="s">
        <v>17</v>
      </c>
      <c r="D27" s="142"/>
      <c r="E27" s="151">
        <v>3000000</v>
      </c>
      <c r="F27" s="152"/>
      <c r="G27" s="152"/>
      <c r="H27" s="152"/>
      <c r="I27" s="153"/>
      <c r="J27" s="11"/>
      <c r="K27" s="1"/>
      <c r="L27" s="1"/>
      <c r="M27" s="1"/>
      <c r="N27" s="1"/>
      <c r="O27" s="1"/>
    </row>
    <row r="28" spans="1:15" ht="19.5" x14ac:dyDescent="0.3">
      <c r="A28" s="119"/>
      <c r="B28" s="97"/>
      <c r="C28" s="141" t="s">
        <v>21</v>
      </c>
      <c r="D28" s="142"/>
      <c r="E28" s="30">
        <v>4500</v>
      </c>
      <c r="F28" s="30">
        <v>4500</v>
      </c>
      <c r="G28" s="30">
        <v>5500</v>
      </c>
      <c r="H28" s="30">
        <v>6000</v>
      </c>
      <c r="I28" s="30">
        <v>7000</v>
      </c>
      <c r="J28" s="11"/>
      <c r="K28" s="1"/>
      <c r="L28" s="1"/>
      <c r="M28" s="1"/>
      <c r="N28" s="1"/>
      <c r="O28" s="1"/>
    </row>
    <row r="29" spans="1:15" ht="19.5" x14ac:dyDescent="0.3">
      <c r="A29" s="119"/>
      <c r="B29" s="16" t="s">
        <v>20</v>
      </c>
      <c r="C29" s="141" t="s">
        <v>16</v>
      </c>
      <c r="D29" s="142"/>
      <c r="E29" s="30">
        <v>4500</v>
      </c>
      <c r="F29" s="30">
        <v>4500</v>
      </c>
      <c r="G29" s="30">
        <v>5500</v>
      </c>
      <c r="H29" s="30">
        <v>6000</v>
      </c>
      <c r="I29" s="30">
        <v>7000</v>
      </c>
      <c r="J29" s="11"/>
      <c r="K29" s="1"/>
      <c r="L29" s="1"/>
      <c r="M29" s="1"/>
      <c r="N29" s="1"/>
      <c r="O29" s="1"/>
    </row>
    <row r="30" spans="1:15" ht="19.5" x14ac:dyDescent="0.3">
      <c r="A30" s="119"/>
      <c r="B30" s="16" t="s">
        <v>46</v>
      </c>
      <c r="C30" s="132" t="s">
        <v>13</v>
      </c>
      <c r="D30" s="133"/>
      <c r="E30" s="125">
        <v>500</v>
      </c>
      <c r="F30" s="126"/>
      <c r="G30" s="126"/>
      <c r="H30" s="126"/>
      <c r="I30" s="15"/>
      <c r="J30" s="6"/>
    </row>
    <row r="31" spans="1:15" ht="21" customHeight="1" x14ac:dyDescent="0.3">
      <c r="A31" s="119"/>
      <c r="B31" s="97" t="s">
        <v>54</v>
      </c>
      <c r="C31" s="134" t="s">
        <v>0</v>
      </c>
      <c r="D31" s="135"/>
      <c r="E31" s="128" t="s">
        <v>39</v>
      </c>
      <c r="F31" s="129"/>
      <c r="G31" s="42" t="s">
        <v>53</v>
      </c>
      <c r="H31" s="128" t="s">
        <v>40</v>
      </c>
      <c r="I31" s="129"/>
      <c r="J31" s="6"/>
      <c r="K31" s="3"/>
      <c r="L31" s="3"/>
      <c r="M31" s="2"/>
      <c r="N31" s="2"/>
      <c r="O31" s="1"/>
    </row>
    <row r="32" spans="1:15" ht="20.25" x14ac:dyDescent="0.3">
      <c r="A32" s="119"/>
      <c r="B32" s="97"/>
      <c r="C32" s="136"/>
      <c r="D32" s="137"/>
      <c r="E32" s="128" t="s">
        <v>28</v>
      </c>
      <c r="F32" s="129"/>
      <c r="G32" s="42" t="s">
        <v>56</v>
      </c>
      <c r="H32" s="128" t="s">
        <v>29</v>
      </c>
      <c r="I32" s="129"/>
      <c r="J32" s="6"/>
      <c r="K32" s="3"/>
      <c r="L32" s="3"/>
      <c r="M32" s="2"/>
      <c r="N32" s="2"/>
      <c r="O32" s="1"/>
    </row>
    <row r="33" spans="1:15" ht="20.45" customHeight="1" x14ac:dyDescent="0.3">
      <c r="A33" s="119"/>
      <c r="B33" s="97"/>
      <c r="C33" s="128" t="s">
        <v>18</v>
      </c>
      <c r="D33" s="129"/>
      <c r="E33" s="12" t="s">
        <v>25</v>
      </c>
      <c r="F33" s="12" t="s">
        <v>26</v>
      </c>
      <c r="G33" s="42"/>
      <c r="H33" s="12" t="s">
        <v>24</v>
      </c>
      <c r="I33" s="12" t="s">
        <v>23</v>
      </c>
      <c r="J33" s="130" t="s">
        <v>41</v>
      </c>
      <c r="K33" s="1"/>
      <c r="L33" s="1"/>
      <c r="M33" s="1"/>
      <c r="N33" s="1"/>
      <c r="O33" s="1"/>
    </row>
    <row r="34" spans="1:15" ht="19.5" x14ac:dyDescent="0.3">
      <c r="A34" s="119"/>
      <c r="B34" s="97"/>
      <c r="C34" s="128" t="s">
        <v>22</v>
      </c>
      <c r="D34" s="129"/>
      <c r="E34" s="5">
        <v>350000</v>
      </c>
      <c r="F34" s="5">
        <v>400000</v>
      </c>
      <c r="G34" s="43">
        <v>150000</v>
      </c>
      <c r="H34" s="5">
        <v>400000</v>
      </c>
      <c r="I34" s="5">
        <v>500000</v>
      </c>
      <c r="J34" s="130"/>
      <c r="K34" s="1"/>
      <c r="L34" s="1"/>
      <c r="M34" s="1"/>
      <c r="N34" s="1"/>
      <c r="O34" s="1"/>
    </row>
    <row r="35" spans="1:15" ht="20.25" thickBot="1" x14ac:dyDescent="0.35">
      <c r="A35" s="120"/>
      <c r="B35" s="127"/>
      <c r="C35" s="138" t="s">
        <v>45</v>
      </c>
      <c r="D35" s="139"/>
      <c r="E35" s="9">
        <v>500000</v>
      </c>
      <c r="F35" s="9">
        <v>600000</v>
      </c>
      <c r="G35" s="44">
        <v>250000</v>
      </c>
      <c r="H35" s="9">
        <v>600000</v>
      </c>
      <c r="I35" s="9">
        <v>700000</v>
      </c>
      <c r="J35" s="131"/>
      <c r="K35" s="1"/>
      <c r="L35" s="1"/>
      <c r="M35" s="1"/>
      <c r="N35" s="1"/>
      <c r="O35" s="1"/>
    </row>
    <row r="36" spans="1:15" ht="17.2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5" ht="17.2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5" ht="17.2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57">
    <mergeCell ref="E8:I8"/>
    <mergeCell ref="C28:D28"/>
    <mergeCell ref="C27:D27"/>
    <mergeCell ref="C29:D29"/>
    <mergeCell ref="B19:D19"/>
    <mergeCell ref="B20:D20"/>
    <mergeCell ref="E20:I20"/>
    <mergeCell ref="B12:D12"/>
    <mergeCell ref="E25:H25"/>
    <mergeCell ref="I25:I26"/>
    <mergeCell ref="E27:I27"/>
    <mergeCell ref="B13:D13"/>
    <mergeCell ref="B14:D14"/>
    <mergeCell ref="B15:D15"/>
    <mergeCell ref="B16:D16"/>
    <mergeCell ref="B17:D17"/>
    <mergeCell ref="A25:A35"/>
    <mergeCell ref="B25:D26"/>
    <mergeCell ref="J25:J26"/>
    <mergeCell ref="B27:B28"/>
    <mergeCell ref="E30:H30"/>
    <mergeCell ref="B31:B35"/>
    <mergeCell ref="E31:F31"/>
    <mergeCell ref="H31:I31"/>
    <mergeCell ref="E32:F32"/>
    <mergeCell ref="H32:I32"/>
    <mergeCell ref="J33:J35"/>
    <mergeCell ref="C30:D30"/>
    <mergeCell ref="C31:D32"/>
    <mergeCell ref="C33:D33"/>
    <mergeCell ref="C34:D34"/>
    <mergeCell ref="C35:D35"/>
    <mergeCell ref="B11:D11"/>
    <mergeCell ref="A21:A24"/>
    <mergeCell ref="B21:B24"/>
    <mergeCell ref="C21:D21"/>
    <mergeCell ref="E21:I21"/>
    <mergeCell ref="E22:I22"/>
    <mergeCell ref="C23:D23"/>
    <mergeCell ref="E23:I23"/>
    <mergeCell ref="E24:I24"/>
    <mergeCell ref="C8:D8"/>
    <mergeCell ref="B18:D18"/>
    <mergeCell ref="A1:J1"/>
    <mergeCell ref="A2:B2"/>
    <mergeCell ref="H2:J2"/>
    <mergeCell ref="A3:A20"/>
    <mergeCell ref="B3:D4"/>
    <mergeCell ref="E3:G3"/>
    <mergeCell ref="H3:H4"/>
    <mergeCell ref="I3:I4"/>
    <mergeCell ref="J3:J4"/>
    <mergeCell ref="C5:D5"/>
    <mergeCell ref="C6:D6"/>
    <mergeCell ref="C7:D7"/>
    <mergeCell ref="B9:I9"/>
    <mergeCell ref="B10:D10"/>
  </mergeCells>
  <phoneticPr fontId="2" type="noConversion"/>
  <printOptions horizontalCentered="1" verticalCentered="1"/>
  <pageMargins left="0.23622047244094491" right="0.23622047244094491" top="0.28000000000000003" bottom="0.31496062992125984" header="0.38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38"/>
  <sheetViews>
    <sheetView zoomScale="90" zoomScaleNormal="90" workbookViewId="0">
      <selection activeCell="K12" sqref="K12"/>
    </sheetView>
  </sheetViews>
  <sheetFormatPr defaultColWidth="8.75" defaultRowHeight="16.5" x14ac:dyDescent="0.3"/>
  <cols>
    <col min="1" max="1" width="6.75" style="25" customWidth="1"/>
    <col min="2" max="2" width="25.75" style="25" bestFit="1" customWidth="1"/>
    <col min="3" max="3" width="8.875" style="25" bestFit="1" customWidth="1"/>
    <col min="4" max="4" width="15.875" style="25" bestFit="1" customWidth="1"/>
    <col min="5" max="9" width="16.25" style="25" customWidth="1"/>
    <col min="10" max="10" width="44.25" style="25" bestFit="1" customWidth="1"/>
    <col min="11" max="11" width="35.75" style="25" customWidth="1"/>
    <col min="12" max="16384" width="8.75" style="25"/>
  </cols>
  <sheetData>
    <row r="1" spans="1:15" ht="37.9" customHeight="1" x14ac:dyDescent="0.3">
      <c r="A1" s="78" t="s">
        <v>87</v>
      </c>
      <c r="B1" s="78"/>
      <c r="C1" s="78"/>
      <c r="D1" s="78"/>
      <c r="E1" s="78"/>
      <c r="F1" s="78"/>
      <c r="G1" s="78"/>
      <c r="H1" s="78"/>
      <c r="I1" s="78"/>
      <c r="J1" s="78"/>
      <c r="K1" s="24"/>
      <c r="L1" s="24"/>
      <c r="M1" s="24"/>
      <c r="N1" s="24"/>
      <c r="O1" s="24"/>
    </row>
    <row r="2" spans="1:15" ht="28.5" customHeight="1" thickBot="1" x14ac:dyDescent="0.35">
      <c r="A2" s="163" t="s">
        <v>80</v>
      </c>
      <c r="B2" s="163"/>
      <c r="C2" s="26"/>
      <c r="D2" s="27"/>
      <c r="E2" s="27"/>
      <c r="F2" s="27"/>
      <c r="G2" s="27"/>
      <c r="H2" s="164" t="s">
        <v>44</v>
      </c>
      <c r="I2" s="164"/>
      <c r="J2" s="164"/>
      <c r="K2" s="27"/>
      <c r="L2" s="27"/>
      <c r="M2" s="27"/>
      <c r="N2" s="27"/>
      <c r="O2" s="28"/>
    </row>
    <row r="3" spans="1:15" ht="20.25" x14ac:dyDescent="0.3">
      <c r="A3" s="165" t="s">
        <v>11</v>
      </c>
      <c r="B3" s="169" t="s">
        <v>0</v>
      </c>
      <c r="C3" s="170"/>
      <c r="D3" s="170"/>
      <c r="E3" s="170" t="s">
        <v>5</v>
      </c>
      <c r="F3" s="170"/>
      <c r="G3" s="170"/>
      <c r="H3" s="170" t="s">
        <v>9</v>
      </c>
      <c r="I3" s="170" t="s">
        <v>49</v>
      </c>
      <c r="J3" s="173" t="s">
        <v>10</v>
      </c>
      <c r="K3" s="27"/>
      <c r="L3" s="27"/>
      <c r="M3" s="27"/>
      <c r="N3" s="27"/>
      <c r="O3" s="28"/>
    </row>
    <row r="4" spans="1:15" ht="21" thickBot="1" x14ac:dyDescent="0.35">
      <c r="A4" s="166"/>
      <c r="B4" s="171"/>
      <c r="C4" s="172"/>
      <c r="D4" s="172"/>
      <c r="E4" s="52" t="s">
        <v>6</v>
      </c>
      <c r="F4" s="52" t="s">
        <v>7</v>
      </c>
      <c r="G4" s="52" t="s">
        <v>8</v>
      </c>
      <c r="H4" s="172"/>
      <c r="I4" s="172"/>
      <c r="J4" s="174"/>
      <c r="K4" s="27"/>
      <c r="L4" s="27"/>
      <c r="M4" s="27"/>
      <c r="N4" s="27"/>
      <c r="O4" s="28"/>
    </row>
    <row r="5" spans="1:15" ht="41.45" customHeight="1" thickTop="1" x14ac:dyDescent="0.3">
      <c r="A5" s="166"/>
      <c r="B5" s="53" t="s">
        <v>58</v>
      </c>
      <c r="C5" s="175" t="s">
        <v>51</v>
      </c>
      <c r="D5" s="175"/>
      <c r="E5" s="54" t="s">
        <v>70</v>
      </c>
      <c r="F5" s="54" t="s">
        <v>71</v>
      </c>
      <c r="G5" s="54" t="s">
        <v>72</v>
      </c>
      <c r="H5" s="54" t="s">
        <v>74</v>
      </c>
      <c r="I5" s="54" t="s">
        <v>50</v>
      </c>
      <c r="J5" s="33" t="s">
        <v>84</v>
      </c>
      <c r="K5" s="27"/>
      <c r="L5" s="27"/>
      <c r="M5" s="27"/>
      <c r="N5" s="27"/>
      <c r="O5" s="28"/>
    </row>
    <row r="6" spans="1:15" ht="21.95" customHeight="1" x14ac:dyDescent="0.3">
      <c r="A6" s="166"/>
      <c r="B6" s="55" t="s">
        <v>2</v>
      </c>
      <c r="C6" s="176" t="s">
        <v>14</v>
      </c>
      <c r="D6" s="176"/>
      <c r="E6" s="56">
        <v>5000</v>
      </c>
      <c r="F6" s="56">
        <v>5500</v>
      </c>
      <c r="G6" s="56">
        <v>6500</v>
      </c>
      <c r="H6" s="56">
        <v>7800</v>
      </c>
      <c r="I6" s="56">
        <v>7800</v>
      </c>
      <c r="J6" s="47"/>
      <c r="K6" s="29"/>
      <c r="L6" s="29"/>
      <c r="M6" s="27"/>
      <c r="N6" s="27"/>
      <c r="O6" s="28"/>
    </row>
    <row r="7" spans="1:15" ht="21.95" customHeight="1" x14ac:dyDescent="0.3">
      <c r="A7" s="166"/>
      <c r="B7" s="55" t="s">
        <v>3</v>
      </c>
      <c r="C7" s="176" t="s">
        <v>13</v>
      </c>
      <c r="D7" s="176"/>
      <c r="E7" s="56">
        <v>5000</v>
      </c>
      <c r="F7" s="56">
        <v>5500</v>
      </c>
      <c r="G7" s="56">
        <v>6500</v>
      </c>
      <c r="H7" s="56">
        <v>7000</v>
      </c>
      <c r="I7" s="56">
        <v>7000</v>
      </c>
      <c r="J7" s="47"/>
      <c r="K7" s="29"/>
      <c r="L7" s="29"/>
      <c r="M7" s="27"/>
      <c r="N7" s="27"/>
      <c r="O7" s="28"/>
    </row>
    <row r="8" spans="1:15" ht="21" thickBot="1" x14ac:dyDescent="0.35">
      <c r="A8" s="166"/>
      <c r="B8" s="57" t="s">
        <v>67</v>
      </c>
      <c r="C8" s="177" t="s">
        <v>68</v>
      </c>
      <c r="D8" s="177"/>
      <c r="E8" s="117">
        <v>500</v>
      </c>
      <c r="F8" s="117"/>
      <c r="G8" s="117"/>
      <c r="H8" s="117"/>
      <c r="I8" s="117"/>
      <c r="J8" s="49"/>
      <c r="K8" s="29"/>
      <c r="L8" s="29"/>
      <c r="M8" s="27"/>
      <c r="N8" s="27"/>
      <c r="O8" s="28"/>
    </row>
    <row r="9" spans="1:15" ht="21.95" customHeight="1" thickBot="1" x14ac:dyDescent="0.35">
      <c r="A9" s="167"/>
      <c r="B9" s="178" t="s">
        <v>69</v>
      </c>
      <c r="C9" s="178"/>
      <c r="D9" s="178"/>
      <c r="E9" s="178"/>
      <c r="F9" s="178"/>
      <c r="G9" s="178"/>
      <c r="H9" s="178"/>
      <c r="I9" s="178"/>
      <c r="J9" s="58" t="s">
        <v>19</v>
      </c>
      <c r="K9" s="29"/>
      <c r="L9" s="29"/>
      <c r="M9" s="27"/>
      <c r="N9" s="27"/>
      <c r="O9" s="28"/>
    </row>
    <row r="10" spans="1:15" ht="21.95" customHeight="1" thickTop="1" x14ac:dyDescent="0.3">
      <c r="A10" s="167"/>
      <c r="B10" s="162" t="s">
        <v>47</v>
      </c>
      <c r="C10" s="162"/>
      <c r="D10" s="162"/>
      <c r="E10" s="59">
        <f>17000*1+5000*2+5000*2</f>
        <v>37000</v>
      </c>
      <c r="F10" s="59">
        <f>18000*1+5500*2+5500*2</f>
        <v>40000</v>
      </c>
      <c r="G10" s="59">
        <f>20000*1+6500*2+6500*2</f>
        <v>46000</v>
      </c>
      <c r="H10" s="59">
        <f>23000*1+7800*2+7000*2</f>
        <v>52600</v>
      </c>
      <c r="I10" s="59">
        <f>33000*1+7500*2+7000*2</f>
        <v>62000</v>
      </c>
      <c r="J10" s="60" t="s">
        <v>15</v>
      </c>
      <c r="K10" s="29"/>
      <c r="L10" s="29"/>
      <c r="M10" s="27"/>
      <c r="N10" s="27"/>
      <c r="O10" s="28"/>
    </row>
    <row r="11" spans="1:15" ht="21.95" customHeight="1" x14ac:dyDescent="0.3">
      <c r="A11" s="167"/>
      <c r="B11" s="179" t="s">
        <v>48</v>
      </c>
      <c r="C11" s="179"/>
      <c r="D11" s="179"/>
      <c r="E11" s="56">
        <f>17000*1+5000*2+5000*3</f>
        <v>42000</v>
      </c>
      <c r="F11" s="56">
        <f>18000*1+5500*2+5500*3</f>
        <v>45500</v>
      </c>
      <c r="G11" s="56">
        <f>20000*1+6500*2+6500*3</f>
        <v>52500</v>
      </c>
      <c r="H11" s="56">
        <f>23000*1+7800*3+7000*2</f>
        <v>60400</v>
      </c>
      <c r="I11" s="56">
        <f>33000*1+7500*3+7000*2</f>
        <v>69500</v>
      </c>
      <c r="J11" s="47" t="s">
        <v>15</v>
      </c>
      <c r="K11" s="29"/>
      <c r="L11" s="29"/>
      <c r="M11" s="27"/>
      <c r="N11" s="27"/>
      <c r="O11" s="28"/>
    </row>
    <row r="12" spans="1:15" ht="21.95" customHeight="1" thickBot="1" x14ac:dyDescent="0.35">
      <c r="A12" s="167"/>
      <c r="B12" s="180" t="s">
        <v>31</v>
      </c>
      <c r="C12" s="180"/>
      <c r="D12" s="180"/>
      <c r="E12" s="61">
        <f>17000*1+5000*2+5000*4</f>
        <v>47000</v>
      </c>
      <c r="F12" s="61">
        <f>18000*1+5500*2+5500*4</f>
        <v>51000</v>
      </c>
      <c r="G12" s="61">
        <f>20000*1+6500*2+6500*4</f>
        <v>59000</v>
      </c>
      <c r="H12" s="61">
        <f>23000*1+7800*4+7000*2</f>
        <v>68200</v>
      </c>
      <c r="I12" s="61">
        <f>33000*1+7500*4+7000*2</f>
        <v>77000</v>
      </c>
      <c r="J12" s="49" t="s">
        <v>15</v>
      </c>
      <c r="K12" s="29"/>
      <c r="L12" s="29"/>
      <c r="M12" s="27"/>
      <c r="N12" s="27"/>
      <c r="O12" s="28"/>
    </row>
    <row r="13" spans="1:15" ht="21.95" customHeight="1" x14ac:dyDescent="0.3">
      <c r="A13" s="167"/>
      <c r="B13" s="181" t="s">
        <v>32</v>
      </c>
      <c r="C13" s="181"/>
      <c r="D13" s="181"/>
      <c r="E13" s="62">
        <f>17000*2+5000*3+5000*5</f>
        <v>74000</v>
      </c>
      <c r="F13" s="62">
        <f>18000*2+5500*3+5500*5</f>
        <v>80000</v>
      </c>
      <c r="G13" s="62">
        <f>20000*1+6500*2+6500*5</f>
        <v>65500</v>
      </c>
      <c r="H13" s="62">
        <f>23000*2+7800*5+7000*3</f>
        <v>106000</v>
      </c>
      <c r="I13" s="62">
        <f>33000*2+7500*5+7000*3</f>
        <v>124500</v>
      </c>
      <c r="J13" s="63" t="s">
        <v>15</v>
      </c>
      <c r="K13" s="29"/>
      <c r="L13" s="29"/>
      <c r="M13" s="27"/>
      <c r="N13" s="27"/>
      <c r="O13" s="28"/>
    </row>
    <row r="14" spans="1:15" ht="21.95" customHeight="1" x14ac:dyDescent="0.3">
      <c r="A14" s="167"/>
      <c r="B14" s="179" t="s">
        <v>33</v>
      </c>
      <c r="C14" s="179"/>
      <c r="D14" s="179"/>
      <c r="E14" s="56">
        <f>17000*2+5000*3+5000*6</f>
        <v>79000</v>
      </c>
      <c r="F14" s="56">
        <f>18000*2+5500*3+5500*6</f>
        <v>85500</v>
      </c>
      <c r="G14" s="56">
        <f>20000*1+6500*2+6500*6</f>
        <v>72000</v>
      </c>
      <c r="H14" s="56">
        <f>23000*2+7800*6+7000*3</f>
        <v>113800</v>
      </c>
      <c r="I14" s="56">
        <f>33000*2+7500*6+7000*3</f>
        <v>132000</v>
      </c>
      <c r="J14" s="47" t="s">
        <v>15</v>
      </c>
      <c r="K14" s="29"/>
      <c r="L14" s="29"/>
      <c r="M14" s="27"/>
      <c r="N14" s="27"/>
      <c r="O14" s="28"/>
    </row>
    <row r="15" spans="1:15" ht="21.95" customHeight="1" thickBot="1" x14ac:dyDescent="0.35">
      <c r="A15" s="167"/>
      <c r="B15" s="180" t="s">
        <v>34</v>
      </c>
      <c r="C15" s="180"/>
      <c r="D15" s="180"/>
      <c r="E15" s="61">
        <f>17000*2+5000*3+5000*7</f>
        <v>84000</v>
      </c>
      <c r="F15" s="61">
        <f>18000*2+5500*3+5500*7</f>
        <v>91000</v>
      </c>
      <c r="G15" s="61">
        <f>20000*1+6500*2+6500*7</f>
        <v>78500</v>
      </c>
      <c r="H15" s="61">
        <f>23000*2+7800*7+7000*3</f>
        <v>121600</v>
      </c>
      <c r="I15" s="61">
        <f>33000*2+7500*7+7000*3</f>
        <v>139500</v>
      </c>
      <c r="J15" s="49" t="s">
        <v>15</v>
      </c>
      <c r="K15" s="29"/>
      <c r="L15" s="29"/>
      <c r="M15" s="27"/>
      <c r="N15" s="27"/>
      <c r="O15" s="28"/>
    </row>
    <row r="16" spans="1:15" ht="21.95" customHeight="1" x14ac:dyDescent="0.3">
      <c r="A16" s="167"/>
      <c r="B16" s="181" t="s">
        <v>35</v>
      </c>
      <c r="C16" s="181"/>
      <c r="D16" s="181"/>
      <c r="E16" s="62">
        <f>17000*3+5000*4+5000*8</f>
        <v>111000</v>
      </c>
      <c r="F16" s="62">
        <f>18000*3+5500*4+5500*8</f>
        <v>120000</v>
      </c>
      <c r="G16" s="62">
        <f>20000*1+6500*2+6500*8</f>
        <v>85000</v>
      </c>
      <c r="H16" s="62">
        <f>23000*3+7800*8+7000*4</f>
        <v>159400</v>
      </c>
      <c r="I16" s="62">
        <f>33000*3+7500*8+7000*4</f>
        <v>187000</v>
      </c>
      <c r="J16" s="63" t="s">
        <v>15</v>
      </c>
      <c r="K16" s="29"/>
      <c r="L16" s="29"/>
      <c r="M16" s="27"/>
      <c r="N16" s="27"/>
      <c r="O16" s="28"/>
    </row>
    <row r="17" spans="1:15" ht="21.95" customHeight="1" x14ac:dyDescent="0.3">
      <c r="A17" s="167"/>
      <c r="B17" s="179" t="s">
        <v>36</v>
      </c>
      <c r="C17" s="179"/>
      <c r="D17" s="179"/>
      <c r="E17" s="56">
        <f>17000*3+5000*4+5000*9</f>
        <v>116000</v>
      </c>
      <c r="F17" s="56">
        <f>18000*3+5500*4+5500*9</f>
        <v>125500</v>
      </c>
      <c r="G17" s="56">
        <f>20000*1+6500*2+6500*9</f>
        <v>91500</v>
      </c>
      <c r="H17" s="56">
        <f>23000*3+7800*9+7000*4</f>
        <v>167200</v>
      </c>
      <c r="I17" s="56">
        <f>33000*3+7500*9+7000*4</f>
        <v>194500</v>
      </c>
      <c r="J17" s="47" t="s">
        <v>15</v>
      </c>
      <c r="K17" s="29"/>
      <c r="L17" s="29"/>
      <c r="M17" s="27"/>
      <c r="N17" s="27"/>
      <c r="O17" s="28"/>
    </row>
    <row r="18" spans="1:15" ht="21.95" customHeight="1" thickBot="1" x14ac:dyDescent="0.35">
      <c r="A18" s="167"/>
      <c r="B18" s="180" t="s">
        <v>37</v>
      </c>
      <c r="C18" s="180"/>
      <c r="D18" s="180"/>
      <c r="E18" s="61">
        <f>17000*3+5000*4+5000*10</f>
        <v>121000</v>
      </c>
      <c r="F18" s="61">
        <f>18000*3+5500*4+5500*10</f>
        <v>131000</v>
      </c>
      <c r="G18" s="61">
        <f>20000*1+6500*2+6500*10</f>
        <v>98000</v>
      </c>
      <c r="H18" s="61">
        <f>23000*3+7800*10+7000*4</f>
        <v>175000</v>
      </c>
      <c r="I18" s="61">
        <f>33000*3+7500*10+7000*4</f>
        <v>202000</v>
      </c>
      <c r="J18" s="49" t="s">
        <v>15</v>
      </c>
      <c r="K18" s="29"/>
      <c r="L18" s="29"/>
      <c r="M18" s="27"/>
      <c r="N18" s="27"/>
      <c r="O18" s="28"/>
    </row>
    <row r="19" spans="1:15" ht="21.95" customHeight="1" x14ac:dyDescent="0.3">
      <c r="A19" s="167"/>
      <c r="B19" s="162" t="s">
        <v>38</v>
      </c>
      <c r="C19" s="162"/>
      <c r="D19" s="162"/>
      <c r="E19" s="59">
        <f>17000*4+5000*5+5000*12</f>
        <v>153000</v>
      </c>
      <c r="F19" s="59">
        <f>18000*4+5500*5+5500*12</f>
        <v>165500</v>
      </c>
      <c r="G19" s="59">
        <f>20000*1+6500*2+6500*12</f>
        <v>111000</v>
      </c>
      <c r="H19" s="59">
        <f>23000+7800*5+7000*12</f>
        <v>146000</v>
      </c>
      <c r="I19" s="59">
        <f>33000+7500*12+7000*5</f>
        <v>158000</v>
      </c>
      <c r="J19" s="60" t="s">
        <v>15</v>
      </c>
      <c r="K19" s="29"/>
      <c r="L19" s="29"/>
      <c r="M19" s="27"/>
      <c r="N19" s="27"/>
      <c r="O19" s="28"/>
    </row>
    <row r="20" spans="1:15" ht="21.95" customHeight="1" thickBot="1" x14ac:dyDescent="0.35">
      <c r="A20" s="168"/>
      <c r="B20" s="180" t="s">
        <v>42</v>
      </c>
      <c r="C20" s="180"/>
      <c r="D20" s="180"/>
      <c r="E20" s="199" t="s">
        <v>43</v>
      </c>
      <c r="F20" s="199"/>
      <c r="G20" s="199"/>
      <c r="H20" s="199"/>
      <c r="I20" s="64"/>
      <c r="J20" s="65"/>
      <c r="K20" s="29"/>
      <c r="L20" s="29"/>
      <c r="M20" s="27"/>
      <c r="N20" s="27"/>
      <c r="O20" s="28"/>
    </row>
    <row r="21" spans="1:15" ht="21.95" customHeight="1" x14ac:dyDescent="0.3">
      <c r="A21" s="156" t="s">
        <v>75</v>
      </c>
      <c r="B21" s="159" t="s">
        <v>55</v>
      </c>
      <c r="C21" s="105"/>
      <c r="D21" s="106"/>
      <c r="E21" s="107" t="s">
        <v>85</v>
      </c>
      <c r="F21" s="108"/>
      <c r="G21" s="108"/>
      <c r="H21" s="108"/>
      <c r="I21" s="109"/>
      <c r="J21" s="45" t="s">
        <v>82</v>
      </c>
      <c r="K21" s="29"/>
      <c r="L21" s="29"/>
      <c r="M21" s="27"/>
      <c r="N21" s="27"/>
      <c r="O21" s="28"/>
    </row>
    <row r="22" spans="1:15" ht="22.15" customHeight="1" x14ac:dyDescent="0.3">
      <c r="A22" s="157"/>
      <c r="B22" s="160"/>
      <c r="C22" s="46" t="s">
        <v>60</v>
      </c>
      <c r="D22" s="46" t="s">
        <v>62</v>
      </c>
      <c r="E22" s="110">
        <v>6000</v>
      </c>
      <c r="F22" s="110"/>
      <c r="G22" s="110"/>
      <c r="H22" s="110"/>
      <c r="I22" s="110"/>
      <c r="J22" s="47"/>
      <c r="K22" s="29"/>
      <c r="L22" s="29"/>
      <c r="M22" s="27"/>
      <c r="N22" s="27"/>
      <c r="O22" s="28"/>
    </row>
    <row r="23" spans="1:15" ht="22.15" customHeight="1" x14ac:dyDescent="0.3">
      <c r="A23" s="157"/>
      <c r="B23" s="160"/>
      <c r="C23" s="111"/>
      <c r="D23" s="112"/>
      <c r="E23" s="113" t="s">
        <v>86</v>
      </c>
      <c r="F23" s="114"/>
      <c r="G23" s="114"/>
      <c r="H23" s="114"/>
      <c r="I23" s="115"/>
      <c r="J23" s="47" t="s">
        <v>83</v>
      </c>
      <c r="K23" s="29"/>
      <c r="L23" s="29"/>
      <c r="M23" s="27"/>
      <c r="N23" s="27"/>
      <c r="O23" s="28"/>
    </row>
    <row r="24" spans="1:15" ht="22.15" customHeight="1" thickBot="1" x14ac:dyDescent="0.35">
      <c r="A24" s="158"/>
      <c r="B24" s="161"/>
      <c r="C24" s="48" t="s">
        <v>60</v>
      </c>
      <c r="D24" s="48" t="s">
        <v>59</v>
      </c>
      <c r="E24" s="116" t="s">
        <v>76</v>
      </c>
      <c r="F24" s="117"/>
      <c r="G24" s="117"/>
      <c r="H24" s="117"/>
      <c r="I24" s="117"/>
      <c r="J24" s="49"/>
      <c r="K24" s="29"/>
      <c r="L24" s="29"/>
      <c r="M24" s="27"/>
      <c r="N24" s="27"/>
      <c r="O24" s="28"/>
    </row>
    <row r="25" spans="1:15" ht="20.25" x14ac:dyDescent="0.3">
      <c r="A25" s="182" t="s">
        <v>79</v>
      </c>
      <c r="B25" s="170" t="s">
        <v>0</v>
      </c>
      <c r="C25" s="170"/>
      <c r="D25" s="170"/>
      <c r="E25" s="203" t="s">
        <v>5</v>
      </c>
      <c r="F25" s="204"/>
      <c r="G25" s="204"/>
      <c r="H25" s="205"/>
      <c r="I25" s="170" t="s">
        <v>9</v>
      </c>
      <c r="J25" s="173" t="s">
        <v>10</v>
      </c>
      <c r="K25" s="27"/>
      <c r="L25" s="27"/>
      <c r="M25" s="27"/>
      <c r="N25" s="27"/>
      <c r="O25" s="28"/>
    </row>
    <row r="26" spans="1:15" ht="21" thickBot="1" x14ac:dyDescent="0.35">
      <c r="A26" s="183"/>
      <c r="B26" s="172"/>
      <c r="C26" s="172"/>
      <c r="D26" s="172"/>
      <c r="E26" s="52" t="s">
        <v>77</v>
      </c>
      <c r="F26" s="52" t="s">
        <v>6</v>
      </c>
      <c r="G26" s="52" t="s">
        <v>7</v>
      </c>
      <c r="H26" s="52" t="s">
        <v>8</v>
      </c>
      <c r="I26" s="172"/>
      <c r="J26" s="174"/>
      <c r="K26" s="27"/>
      <c r="L26" s="27"/>
      <c r="M26" s="27"/>
      <c r="N26" s="27"/>
      <c r="O26" s="28"/>
    </row>
    <row r="27" spans="1:15" ht="20.25" thickTop="1" x14ac:dyDescent="0.3">
      <c r="A27" s="183"/>
      <c r="B27" s="185" t="s">
        <v>4</v>
      </c>
      <c r="C27" s="187" t="s">
        <v>17</v>
      </c>
      <c r="D27" s="187"/>
      <c r="E27" s="200">
        <v>3000000</v>
      </c>
      <c r="F27" s="201"/>
      <c r="G27" s="201"/>
      <c r="H27" s="201"/>
      <c r="I27" s="202"/>
      <c r="J27" s="66"/>
      <c r="K27" s="28"/>
      <c r="L27" s="28"/>
      <c r="M27" s="28"/>
      <c r="N27" s="28"/>
      <c r="O27" s="28"/>
    </row>
    <row r="28" spans="1:15" ht="19.5" x14ac:dyDescent="0.3">
      <c r="A28" s="183"/>
      <c r="B28" s="186"/>
      <c r="C28" s="188" t="s">
        <v>21</v>
      </c>
      <c r="D28" s="188"/>
      <c r="E28" s="67">
        <v>4500</v>
      </c>
      <c r="F28" s="67">
        <v>4500</v>
      </c>
      <c r="G28" s="67">
        <v>5500</v>
      </c>
      <c r="H28" s="67">
        <v>6000</v>
      </c>
      <c r="I28" s="67">
        <v>7000</v>
      </c>
      <c r="J28" s="68"/>
      <c r="K28" s="28"/>
      <c r="L28" s="28"/>
      <c r="M28" s="28"/>
      <c r="N28" s="28"/>
      <c r="O28" s="28"/>
    </row>
    <row r="29" spans="1:15" ht="19.5" x14ac:dyDescent="0.3">
      <c r="A29" s="183"/>
      <c r="B29" s="69" t="s">
        <v>20</v>
      </c>
      <c r="C29" s="188" t="s">
        <v>16</v>
      </c>
      <c r="D29" s="188"/>
      <c r="E29" s="67">
        <v>4500</v>
      </c>
      <c r="F29" s="67">
        <v>4500</v>
      </c>
      <c r="G29" s="67">
        <v>5500</v>
      </c>
      <c r="H29" s="67">
        <v>6000</v>
      </c>
      <c r="I29" s="67">
        <v>7000</v>
      </c>
      <c r="J29" s="68"/>
      <c r="K29" s="28"/>
      <c r="L29" s="28"/>
      <c r="M29" s="28"/>
      <c r="N29" s="28"/>
      <c r="O29" s="28"/>
    </row>
    <row r="30" spans="1:15" ht="20.25" thickBot="1" x14ac:dyDescent="0.35">
      <c r="A30" s="183"/>
      <c r="B30" s="70" t="s">
        <v>46</v>
      </c>
      <c r="C30" s="172" t="s">
        <v>13</v>
      </c>
      <c r="D30" s="172"/>
      <c r="E30" s="197">
        <v>500</v>
      </c>
      <c r="F30" s="198"/>
      <c r="G30" s="198"/>
      <c r="H30" s="198"/>
      <c r="I30" s="71"/>
      <c r="J30" s="72"/>
    </row>
    <row r="31" spans="1:15" ht="21" customHeight="1" thickTop="1" x14ac:dyDescent="0.3">
      <c r="A31" s="183"/>
      <c r="B31" s="185" t="s">
        <v>27</v>
      </c>
      <c r="C31" s="190" t="s">
        <v>0</v>
      </c>
      <c r="D31" s="190"/>
      <c r="E31" s="192" t="s">
        <v>39</v>
      </c>
      <c r="F31" s="192"/>
      <c r="G31" s="35" t="s">
        <v>53</v>
      </c>
      <c r="H31" s="192" t="s">
        <v>57</v>
      </c>
      <c r="I31" s="192"/>
      <c r="J31" s="73"/>
      <c r="K31" s="29"/>
      <c r="L31" s="29"/>
      <c r="M31" s="27"/>
      <c r="N31" s="27"/>
      <c r="O31" s="28"/>
    </row>
    <row r="32" spans="1:15" ht="20.25" x14ac:dyDescent="0.3">
      <c r="A32" s="183"/>
      <c r="B32" s="186"/>
      <c r="C32" s="191"/>
      <c r="D32" s="191"/>
      <c r="E32" s="193" t="s">
        <v>78</v>
      </c>
      <c r="F32" s="193"/>
      <c r="G32" s="31" t="s">
        <v>56</v>
      </c>
      <c r="H32" s="193" t="s">
        <v>29</v>
      </c>
      <c r="I32" s="193"/>
      <c r="J32" s="74"/>
      <c r="K32" s="29"/>
      <c r="L32" s="29"/>
      <c r="M32" s="27"/>
      <c r="N32" s="27"/>
      <c r="O32" s="28"/>
    </row>
    <row r="33" spans="1:15" ht="20.45" customHeight="1" x14ac:dyDescent="0.3">
      <c r="A33" s="183"/>
      <c r="B33" s="186"/>
      <c r="C33" s="193" t="s">
        <v>18</v>
      </c>
      <c r="D33" s="193"/>
      <c r="E33" s="31" t="s">
        <v>25</v>
      </c>
      <c r="F33" s="31" t="s">
        <v>26</v>
      </c>
      <c r="G33" s="31"/>
      <c r="H33" s="31" t="s">
        <v>24</v>
      </c>
      <c r="I33" s="31" t="s">
        <v>23</v>
      </c>
      <c r="J33" s="194" t="s">
        <v>41</v>
      </c>
      <c r="K33" s="28"/>
      <c r="L33" s="28"/>
      <c r="M33" s="28"/>
      <c r="N33" s="28"/>
      <c r="O33" s="28"/>
    </row>
    <row r="34" spans="1:15" ht="19.5" x14ac:dyDescent="0.3">
      <c r="A34" s="183"/>
      <c r="B34" s="186"/>
      <c r="C34" s="193" t="s">
        <v>22</v>
      </c>
      <c r="D34" s="193"/>
      <c r="E34" s="32">
        <v>350000</v>
      </c>
      <c r="F34" s="32">
        <v>400000</v>
      </c>
      <c r="G34" s="32">
        <v>150000</v>
      </c>
      <c r="H34" s="32">
        <v>400000</v>
      </c>
      <c r="I34" s="32">
        <v>500000</v>
      </c>
      <c r="J34" s="194"/>
      <c r="K34" s="28"/>
      <c r="L34" s="28"/>
      <c r="M34" s="28"/>
      <c r="N34" s="28"/>
      <c r="O34" s="28"/>
    </row>
    <row r="35" spans="1:15" ht="20.25" thickBot="1" x14ac:dyDescent="0.35">
      <c r="A35" s="184"/>
      <c r="B35" s="189"/>
      <c r="C35" s="196" t="s">
        <v>45</v>
      </c>
      <c r="D35" s="196"/>
      <c r="E35" s="36">
        <v>500000</v>
      </c>
      <c r="F35" s="36">
        <v>600000</v>
      </c>
      <c r="G35" s="36">
        <v>250000</v>
      </c>
      <c r="H35" s="36">
        <v>600000</v>
      </c>
      <c r="I35" s="36">
        <v>700000</v>
      </c>
      <c r="J35" s="195"/>
      <c r="K35" s="28"/>
      <c r="L35" s="28"/>
      <c r="M35" s="28"/>
      <c r="N35" s="28"/>
      <c r="O35" s="28"/>
    </row>
    <row r="36" spans="1:15" ht="17.25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5" ht="17.25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5" ht="17.25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</row>
  </sheetData>
  <mergeCells count="57">
    <mergeCell ref="C34:D34"/>
    <mergeCell ref="C35:D35"/>
    <mergeCell ref="C30:D30"/>
    <mergeCell ref="E30:H30"/>
    <mergeCell ref="E20:H20"/>
    <mergeCell ref="E27:I27"/>
    <mergeCell ref="E25:H25"/>
    <mergeCell ref="A25:A35"/>
    <mergeCell ref="B25:D26"/>
    <mergeCell ref="J25:J26"/>
    <mergeCell ref="B27:B28"/>
    <mergeCell ref="C27:D27"/>
    <mergeCell ref="C28:D28"/>
    <mergeCell ref="C29:D29"/>
    <mergeCell ref="B31:B35"/>
    <mergeCell ref="C31:D32"/>
    <mergeCell ref="E31:F31"/>
    <mergeCell ref="H31:I31"/>
    <mergeCell ref="E32:F32"/>
    <mergeCell ref="H32:I32"/>
    <mergeCell ref="C33:D33"/>
    <mergeCell ref="J33:J35"/>
    <mergeCell ref="I25:I26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10:D10"/>
    <mergeCell ref="A1:J1"/>
    <mergeCell ref="A2:B2"/>
    <mergeCell ref="H2:J2"/>
    <mergeCell ref="A3:A20"/>
    <mergeCell ref="B3:D4"/>
    <mergeCell ref="E3:G3"/>
    <mergeCell ref="H3:H4"/>
    <mergeCell ref="I3:I4"/>
    <mergeCell ref="J3:J4"/>
    <mergeCell ref="C5:D5"/>
    <mergeCell ref="C6:D6"/>
    <mergeCell ref="C7:D7"/>
    <mergeCell ref="C8:D8"/>
    <mergeCell ref="E8:I8"/>
    <mergeCell ref="B9:I9"/>
    <mergeCell ref="A21:A24"/>
    <mergeCell ref="E21:I21"/>
    <mergeCell ref="B21:B24"/>
    <mergeCell ref="E23:I23"/>
    <mergeCell ref="C21:D21"/>
    <mergeCell ref="C23:D23"/>
    <mergeCell ref="E22:I22"/>
    <mergeCell ref="E24:I24"/>
  </mergeCells>
  <phoneticPr fontId="2" type="noConversion"/>
  <printOptions horizontalCentered="1" verticalCentered="1"/>
  <pageMargins left="0.23622047244094491" right="0.23622047244094491" top="0.28000000000000003" bottom="0.31496062992125984" header="0.38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" sqref="A25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8인실 (2020)</vt:lpstr>
      <vt:lpstr>4인실(2020)</vt:lpstr>
      <vt:lpstr>Sheet3</vt:lpstr>
      <vt:lpstr>'4인실(2020)'!Print_Area</vt:lpstr>
      <vt:lpstr>'8인실 (2020)'!Print_Area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mslim</cp:lastModifiedBy>
  <cp:lastPrinted>2020-01-29T05:22:17Z</cp:lastPrinted>
  <dcterms:created xsi:type="dcterms:W3CDTF">2017-05-26T07:06:35Z</dcterms:created>
  <dcterms:modified xsi:type="dcterms:W3CDTF">2020-02-04T02:18:27Z</dcterms:modified>
</cp:coreProperties>
</file>